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trickhof-09\2-4 Dienstleist Beratung\Spezialkulturen\Gemüse\Betriebswirtschaft_Dani\2019\Überarbeitung_Gebindekosten_2019\"/>
    </mc:Choice>
  </mc:AlternateContent>
  <bookViews>
    <workbookView xWindow="0" yWindow="0" windowWidth="28800" windowHeight="12000"/>
  </bookViews>
  <sheets>
    <sheet name="Berechnung Prozentualer_Anteil"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J4" i="2" l="1"/>
  <c r="C10" i="2"/>
  <c r="C11" i="2"/>
  <c r="D13" i="2"/>
  <c r="D15" i="2" s="1"/>
  <c r="D16" i="2" s="1"/>
  <c r="M15" i="2"/>
  <c r="M10" i="2" s="1"/>
  <c r="M16" i="2"/>
  <c r="D17" i="2" l="1"/>
  <c r="M20" i="2"/>
  <c r="K20" i="2" s="1"/>
  <c r="M18" i="2"/>
  <c r="K18" i="2" s="1"/>
  <c r="M11" i="2"/>
  <c r="K11" i="2" s="1"/>
  <c r="M17" i="2"/>
  <c r="K17" i="2" s="1"/>
  <c r="M14" i="2"/>
  <c r="K14" i="2" s="1"/>
  <c r="M19" i="2"/>
  <c r="K19" i="2" s="1"/>
  <c r="M12" i="2"/>
  <c r="K12" i="2" s="1"/>
  <c r="K10" i="2"/>
  <c r="K15" i="2"/>
  <c r="C12" i="2"/>
  <c r="C13" i="2" s="1"/>
  <c r="C14" i="2"/>
  <c r="M13" i="2"/>
  <c r="K13" i="2" s="1"/>
  <c r="K16" i="2"/>
  <c r="C15" i="2" l="1"/>
  <c r="C16" i="2" s="1"/>
  <c r="L10" i="2"/>
  <c r="J10" i="2" s="1"/>
  <c r="L13" i="2"/>
  <c r="J13" i="2" s="1"/>
  <c r="L15" i="2"/>
  <c r="J15" i="2" s="1"/>
  <c r="L16" i="2"/>
  <c r="J16" i="2" s="1"/>
  <c r="L17" i="2"/>
  <c r="J17" i="2" s="1"/>
  <c r="L18" i="2"/>
  <c r="J18" i="2" s="1"/>
  <c r="L11" i="2"/>
  <c r="J11" i="2" s="1"/>
  <c r="L12" i="2"/>
  <c r="J12" i="2" s="1"/>
  <c r="L14" i="2"/>
  <c r="J14" i="2" s="1"/>
  <c r="C17" i="2"/>
  <c r="L19" i="2"/>
  <c r="J19" i="2" s="1"/>
  <c r="L20" i="2"/>
  <c r="J20" i="2" s="1"/>
</calcChain>
</file>

<file path=xl/sharedStrings.xml><?xml version="1.0" encoding="utf-8"?>
<sst xmlns="http://schemas.openxmlformats.org/spreadsheetml/2006/main" count="58" uniqueCount="55">
  <si>
    <r>
      <t xml:space="preserve">Gebindekostenrechner </t>
    </r>
    <r>
      <rPr>
        <b/>
        <sz val="10"/>
        <color theme="1"/>
        <rFont val="Calibri"/>
        <family val="2"/>
        <scheme val="minor"/>
      </rPr>
      <t>(Daniel Bachmann, Strickhof Fachstelle Gemüse)</t>
    </r>
  </si>
  <si>
    <t>Diagrammtitel</t>
  </si>
  <si>
    <t>Gebindeauswahl</t>
  </si>
  <si>
    <t>Preis/Umschlag</t>
  </si>
  <si>
    <t>Gebinde/Träger</t>
  </si>
  <si>
    <t>Gebindeträger</t>
  </si>
  <si>
    <t>G1 inkl. Transportzuschlag</t>
  </si>
  <si>
    <t>EPAL</t>
  </si>
  <si>
    <t>Produkt</t>
  </si>
  <si>
    <t>G2  inkl. Transportzuschlag</t>
  </si>
  <si>
    <t>Produktepreis (CHF pro kg/Stk.)</t>
  </si>
  <si>
    <t>G3  inkl. Transportzuschlag</t>
  </si>
  <si>
    <t>Füllmenge (kg/Stk. pro Gebinde)</t>
  </si>
  <si>
    <t xml:space="preserve">Datenquelle für Diagramm </t>
  </si>
  <si>
    <t>G4  inkl. Transportzuschlag</t>
  </si>
  <si>
    <t>Eigene Werte</t>
  </si>
  <si>
    <t>IFCO 6408 grün</t>
  </si>
  <si>
    <t>Gebindeart</t>
  </si>
  <si>
    <t>IFCO 6416 grün</t>
  </si>
  <si>
    <t>Anteil (%)</t>
  </si>
  <si>
    <t>Total Produktewert CHF</t>
  </si>
  <si>
    <t>Total Gebindekosten pro Palette</t>
  </si>
  <si>
    <t>Produktepreis (CHF)</t>
  </si>
  <si>
    <t>IFCO 6410 grün</t>
  </si>
  <si>
    <t>Gebindekosten/Umschlag</t>
  </si>
  <si>
    <t>IFCO 6413 grün</t>
  </si>
  <si>
    <t>Gebinde pro Gebindeträger</t>
  </si>
  <si>
    <t>Kosten Palette</t>
  </si>
  <si>
    <t>IFCO 6418 grün</t>
  </si>
  <si>
    <t>IFCO 6420 grün</t>
  </si>
  <si>
    <t>Total Produktewert pro Palette</t>
  </si>
  <si>
    <t>IFCO 4310 grün</t>
  </si>
  <si>
    <t>% Gebindekosten am Produktwert</t>
  </si>
  <si>
    <t>IFCO 4314 grün</t>
  </si>
  <si>
    <t xml:space="preserve">Gebindekosten je kg/Stk. Produkt </t>
  </si>
  <si>
    <t>IFCO 4320 grün</t>
  </si>
  <si>
    <t>IFCO 6408 schwarz</t>
  </si>
  <si>
    <t>IFCO 6410 schwarz</t>
  </si>
  <si>
    <t>IFCO 6413 schwarz</t>
  </si>
  <si>
    <t>IFCO 6416 schwarz</t>
  </si>
  <si>
    <t>IFCO 6418 schwarz</t>
  </si>
  <si>
    <t>IFCO 6420 schwarz</t>
  </si>
  <si>
    <t>IFCO 4310 schwarz</t>
  </si>
  <si>
    <t>IFCO 4314 schwarz</t>
  </si>
  <si>
    <t>IFCO 4320 schwarz</t>
  </si>
  <si>
    <t>Migros A/N</t>
  </si>
  <si>
    <t>Migros B/N</t>
  </si>
  <si>
    <t>Migros C/N</t>
  </si>
  <si>
    <t>Migros U</t>
  </si>
  <si>
    <t>Holz-Grosskiste</t>
  </si>
  <si>
    <t>Holz-Paloxe</t>
  </si>
  <si>
    <t>Kunstoff-Paloxe</t>
  </si>
  <si>
    <t>Gitter-Paloxe</t>
  </si>
  <si>
    <t>Gebindekosten (CHF) pro 1 CHF Produktwert</t>
  </si>
  <si>
    <t>Kopfsalat grün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</si>
</sst>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CHF&quot;\ #,##0.00;&quot;CHF&quot;\ \-#,##0.00"/>
    <numFmt numFmtId="164" formatCode="&quot;CHF&quot;\ #,##0.00"/>
    <numFmt numFmtId="165" formatCode="0.0%"/>
    <numFmt numFmtId="166" formatCode="#,##0_ ;\-#,##0\ "/>
    <numFmt numFmtId="167" formatCode="#,##0.00_ ;\-#,##0.00\ "/>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0"/>
      <color theme="1"/>
      <name val="Calibri"/>
      <family val="2"/>
      <scheme val="minor"/>
    </font>
    <font>
      <sz val="14"/>
      <color theme="1"/>
      <name val="Arial Narrow"/>
      <family val="2"/>
    </font>
    <font>
      <b/>
      <sz val="14"/>
      <color theme="1"/>
      <name val="Arial Narrow"/>
      <family val="2"/>
    </font>
    <font>
      <sz val="11"/>
      <color theme="1"/>
      <name val="Arial Narrow"/>
      <family val="2"/>
    </font>
    <font>
      <sz val="12"/>
      <color theme="0"/>
      <name val="Calibri"/>
      <family val="2"/>
      <scheme val="minor"/>
    </font>
    <font>
      <sz val="11"/>
      <color theme="0"/>
      <name val="Arial Narrow"/>
      <family val="2"/>
    </font>
    <font>
      <sz val="11"/>
      <color rgb="FFFF0000"/>
      <name val="Calibri"/>
      <family val="2"/>
      <scheme val="minor"/>
    </font>
    <font>
      <sz val="11"/>
      <color rgb="FFFF0000"/>
      <name val="Arial Narrow"/>
      <family val="2"/>
    </font>
  </fonts>
  <fills count="4">
    <fill>
      <patternFill patternType="none"/>
    </fill>
    <fill>
      <patternFill patternType="gray125"/>
    </fill>
    <fill>
      <patternFill patternType="solid">
        <fgColor rgb="FF92D05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vertical="top"/>
    </xf>
    <xf numFmtId="0" fontId="0" fillId="0" borderId="0" xfId="0" applyProtection="1"/>
    <xf numFmtId="0" fontId="2" fillId="0" borderId="0" xfId="0" applyFont="1" applyProtection="1">
      <protection hidden="1"/>
    </xf>
    <xf numFmtId="0" fontId="0" fillId="0" borderId="0" xfId="0" applyProtection="1">
      <protection hidden="1"/>
    </xf>
    <xf numFmtId="164" fontId="0" fillId="0" borderId="0" xfId="0" applyNumberFormat="1" applyProtection="1">
      <protection hidden="1"/>
    </xf>
    <xf numFmtId="164" fontId="6" fillId="3" borderId="1" xfId="0" applyNumberFormat="1" applyFont="1" applyFill="1" applyBorder="1" applyAlignment="1" applyProtection="1">
      <alignment horizontal="left" vertical="top" wrapText="1"/>
      <protection locked="0"/>
    </xf>
    <xf numFmtId="164" fontId="6" fillId="2" borderId="1"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protection locked="0"/>
    </xf>
    <xf numFmtId="164" fontId="6" fillId="2" borderId="1" xfId="0" applyNumberFormat="1" applyFont="1" applyFill="1" applyBorder="1" applyAlignment="1" applyProtection="1">
      <alignment horizontal="left" vertical="top" wrapText="1"/>
    </xf>
    <xf numFmtId="164" fontId="6" fillId="3" borderId="1" xfId="0" applyNumberFormat="1" applyFont="1" applyFill="1" applyBorder="1" applyAlignment="1" applyProtection="1">
      <alignment horizontal="left"/>
      <protection locked="0"/>
    </xf>
    <xf numFmtId="0" fontId="6" fillId="2" borderId="1" xfId="0" applyNumberFormat="1" applyFont="1" applyFill="1" applyBorder="1" applyAlignment="1" applyProtection="1">
      <alignment horizontal="left" vertical="top" wrapText="1"/>
    </xf>
    <xf numFmtId="1" fontId="6" fillId="3" borderId="1"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left" vertical="top" wrapText="1"/>
    </xf>
    <xf numFmtId="165"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horizontal="left" vertical="top" wrapText="1"/>
    </xf>
    <xf numFmtId="164" fontId="7" fillId="0" borderId="0" xfId="0" applyNumberFormat="1" applyFont="1" applyFill="1" applyBorder="1" applyAlignment="1" applyProtection="1">
      <alignment horizontal="left" vertical="top" wrapText="1"/>
    </xf>
    <xf numFmtId="0" fontId="0" fillId="0" borderId="0" xfId="0" applyFill="1" applyBorder="1" applyProtection="1"/>
    <xf numFmtId="166" fontId="6" fillId="0" borderId="0" xfId="0" applyNumberFormat="1" applyFont="1" applyFill="1" applyBorder="1" applyAlignment="1">
      <alignment horizontal="left" vertical="top" wrapText="1"/>
    </xf>
    <xf numFmtId="0" fontId="0" fillId="0" borderId="0" xfId="0" applyFill="1" applyBorder="1"/>
    <xf numFmtId="164" fontId="7" fillId="0" borderId="0" xfId="0" applyNumberFormat="1" applyFont="1" applyFill="1" applyBorder="1" applyAlignment="1">
      <alignment horizontal="left" vertical="top" wrapText="1"/>
    </xf>
    <xf numFmtId="167" fontId="6"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wrapText="1"/>
    </xf>
    <xf numFmtId="7" fontId="7" fillId="0" borderId="0" xfId="0" applyNumberFormat="1" applyFont="1" applyFill="1" applyBorder="1" applyAlignment="1">
      <alignment horizontal="left" vertical="top" wrapText="1"/>
    </xf>
    <xf numFmtId="0" fontId="0" fillId="0" borderId="0" xfId="0" applyFill="1" applyBorder="1" applyAlignment="1">
      <alignment horizontal="left" vertical="top"/>
    </xf>
    <xf numFmtId="2" fontId="0" fillId="0" borderId="0" xfId="0" applyNumberFormat="1" applyProtection="1">
      <protection hidden="1"/>
    </xf>
    <xf numFmtId="0" fontId="0" fillId="0" borderId="4" xfId="0" applyBorder="1"/>
    <xf numFmtId="0" fontId="0" fillId="0" borderId="6" xfId="0" applyBorder="1" applyProtection="1"/>
    <xf numFmtId="0" fontId="0" fillId="0" borderId="5" xfId="0" applyBorder="1" applyProtection="1"/>
    <xf numFmtId="0" fontId="0" fillId="0" borderId="0" xfId="0" applyBorder="1" applyAlignment="1" applyProtection="1">
      <alignment horizontal="left" vertical="top"/>
    </xf>
    <xf numFmtId="0" fontId="0" fillId="0" borderId="0" xfId="0" applyBorder="1" applyProtection="1"/>
    <xf numFmtId="0" fontId="6" fillId="2" borderId="7" xfId="0" applyFont="1" applyFill="1" applyBorder="1" applyAlignment="1" applyProtection="1">
      <alignment horizontal="left" vertical="center" wrapText="1"/>
    </xf>
    <xf numFmtId="0" fontId="6" fillId="0" borderId="0" xfId="0" applyFont="1" applyBorder="1" applyAlignment="1" applyProtection="1">
      <alignment horizontal="left"/>
    </xf>
    <xf numFmtId="0" fontId="6" fillId="0" borderId="7" xfId="0" applyFont="1" applyFill="1" applyBorder="1" applyAlignment="1" applyProtection="1">
      <alignment horizontal="lef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xf>
    <xf numFmtId="0" fontId="7" fillId="0" borderId="7"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6" fillId="0" borderId="5" xfId="0" applyFont="1" applyFill="1" applyBorder="1" applyAlignment="1">
      <alignment horizontal="left" vertical="center" wrapText="1"/>
    </xf>
    <xf numFmtId="0" fontId="0" fillId="0" borderId="6" xfId="0" applyBorder="1"/>
    <xf numFmtId="0" fontId="7" fillId="0" borderId="5" xfId="0" applyFont="1" applyFill="1" applyBorder="1" applyAlignment="1">
      <alignment horizontal="left" vertical="center" wrapText="1"/>
    </xf>
    <xf numFmtId="0" fontId="7" fillId="0" borderId="5" xfId="0" applyFont="1" applyFill="1" applyBorder="1" applyAlignment="1">
      <alignment vertical="center" wrapText="1"/>
    </xf>
    <xf numFmtId="0" fontId="8" fillId="0" borderId="5" xfId="0" applyFont="1" applyFill="1" applyBorder="1" applyAlignment="1">
      <alignment horizontal="left" vertical="center" wrapText="1"/>
    </xf>
    <xf numFmtId="0" fontId="0" fillId="0" borderId="5" xfId="0" applyFill="1" applyBorder="1"/>
    <xf numFmtId="0" fontId="0" fillId="0" borderId="5" xfId="0" applyBorder="1"/>
    <xf numFmtId="0" fontId="0" fillId="0" borderId="0" xfId="0" applyBorder="1" applyAlignment="1">
      <alignment horizontal="left" vertical="top"/>
    </xf>
    <xf numFmtId="0" fontId="0" fillId="0" borderId="0" xfId="0" applyBorder="1"/>
    <xf numFmtId="0" fontId="0" fillId="0" borderId="8" xfId="0" applyBorder="1"/>
    <xf numFmtId="0" fontId="0" fillId="0" borderId="9" xfId="0" applyBorder="1" applyAlignment="1">
      <alignment horizontal="left" vertical="top"/>
    </xf>
    <xf numFmtId="0" fontId="0" fillId="0" borderId="9" xfId="0" applyBorder="1"/>
    <xf numFmtId="0" fontId="0" fillId="0" borderId="10" xfId="0" applyBorder="1"/>
    <xf numFmtId="0" fontId="3" fillId="0" borderId="0" xfId="0" applyFont="1"/>
    <xf numFmtId="0" fontId="1" fillId="0" borderId="0" xfId="0" applyFont="1"/>
    <xf numFmtId="0" fontId="9" fillId="0" borderId="0" xfId="0" applyFont="1" applyFill="1" applyBorder="1" applyAlignment="1" applyProtection="1">
      <alignment horizontal="left" vertical="center" wrapText="1"/>
    </xf>
    <xf numFmtId="10" fontId="3" fillId="0" borderId="0" xfId="0" applyNumberFormat="1" applyFont="1"/>
    <xf numFmtId="164" fontId="3" fillId="0" borderId="0" xfId="0" applyNumberFormat="1" applyFont="1" applyAlignment="1">
      <alignment horizontal="left"/>
    </xf>
    <xf numFmtId="0" fontId="3" fillId="0" borderId="0" xfId="0" applyFont="1" applyAlignment="1">
      <alignment horizontal="left"/>
    </xf>
    <xf numFmtId="164" fontId="3" fillId="0" borderId="0" xfId="0" applyNumberFormat="1" applyFont="1"/>
    <xf numFmtId="0" fontId="10" fillId="0" borderId="0" xfId="0" applyFont="1"/>
    <xf numFmtId="0" fontId="11" fillId="0" borderId="0" xfId="0" applyFont="1"/>
    <xf numFmtId="0" fontId="12" fillId="0" borderId="0" xfId="0" applyFont="1"/>
    <xf numFmtId="0" fontId="6" fillId="2"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top" wrapText="1"/>
      <protection locked="0"/>
    </xf>
    <xf numFmtId="164" fontId="6" fillId="3" borderId="13" xfId="0" applyNumberFormat="1" applyFont="1" applyFill="1" applyBorder="1" applyAlignment="1" applyProtection="1">
      <alignment horizontal="left" vertical="top" wrapText="1"/>
      <protection locked="0"/>
    </xf>
    <xf numFmtId="0" fontId="6" fillId="3" borderId="14" xfId="0" applyNumberFormat="1" applyFont="1" applyFill="1" applyBorder="1" applyAlignment="1" applyProtection="1">
      <alignment horizontal="left" vertical="top" wrapText="1"/>
      <protection locked="0"/>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'Berechnung Prozentualer_Anteil'!$J$4</c:f>
          <c:strCache>
            <c:ptCount val="1"/>
            <c:pt idx="0">
              <c:v>Gebindekosten Kopfsalat grün bei 6 kg /Stk. pro Gebinde</c:v>
            </c:pt>
          </c:strCache>
        </c:strRef>
      </c:tx>
      <c:layout>
        <c:manualLayout>
          <c:xMode val="edge"/>
          <c:yMode val="edge"/>
          <c:x val="0.14031439396866363"/>
          <c:y val="1.8876327609886754E-2"/>
        </c:manualLayout>
      </c:layout>
      <c:overlay val="0"/>
      <c:txPr>
        <a:bodyPr/>
        <a:lstStyle/>
        <a:p>
          <a:pPr>
            <a:defRPr>
              <a:solidFill>
                <a:schemeClr val="bg1"/>
              </a:solidFill>
            </a:defRPr>
          </a:pPr>
          <a:endParaRPr lang="de-DE"/>
        </a:p>
      </c:txPr>
    </c:title>
    <c:autoTitleDeleted val="0"/>
    <c:plotArea>
      <c:layout>
        <c:manualLayout>
          <c:layoutTarget val="inner"/>
          <c:xMode val="edge"/>
          <c:yMode val="edge"/>
          <c:x val="0.16156893511032872"/>
          <c:y val="0.1887925939843203"/>
          <c:w val="0.78037523559858779"/>
          <c:h val="0.54391377867354429"/>
        </c:manualLayout>
      </c:layout>
      <c:scatterChart>
        <c:scatterStyle val="lineMarker"/>
        <c:varyColors val="0"/>
        <c:ser>
          <c:idx val="0"/>
          <c:order val="0"/>
          <c:tx>
            <c:strRef>
              <c:f>'Berechnung Prozentualer_Anteil'!$C$9</c:f>
              <c:strCache>
                <c:ptCount val="1"/>
                <c:pt idx="0">
                  <c:v>IFCO 6416 grün</c:v>
                </c:pt>
              </c:strCache>
            </c:strRef>
          </c:tx>
          <c:spPr>
            <a:ln>
              <a:solidFill>
                <a:srgbClr val="FF0000"/>
              </a:solidFill>
            </a:ln>
          </c:spPr>
          <c:marker>
            <c:spPr>
              <a:solidFill>
                <a:srgbClr val="FF0000"/>
              </a:solidFill>
              <a:ln>
                <a:solidFill>
                  <a:srgbClr val="FF0000"/>
                </a:solidFill>
              </a:ln>
            </c:spPr>
          </c:marker>
          <c:dPt>
            <c:idx val="5"/>
            <c:marker>
              <c:spPr>
                <a:solidFill>
                  <a:schemeClr val="bg1"/>
                </a:solidFill>
                <a:ln w="38100">
                  <a:solidFill>
                    <a:schemeClr val="bg1"/>
                  </a:solidFill>
                </a:ln>
              </c:spPr>
            </c:marker>
            <c:bubble3D val="0"/>
            <c:extLst>
              <c:ext xmlns:c16="http://schemas.microsoft.com/office/drawing/2014/chart" uri="{C3380CC4-5D6E-409C-BE32-E72D297353CC}">
                <c16:uniqueId val="{00000000-B6B9-4719-9D50-6478C4886778}"/>
              </c:ext>
            </c:extLst>
          </c:dPt>
          <c:dLbls>
            <c:dLbl>
              <c:idx val="5"/>
              <c:layout>
                <c:manualLayout>
                  <c:x val="2.4486601622054627E-2"/>
                  <c:y val="-0.10731025216208061"/>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B9-4719-9D50-6478C4886778}"/>
                </c:ext>
              </c:extLst>
            </c:dLbl>
            <c:spPr>
              <a:noFill/>
              <a:ln>
                <a:noFill/>
              </a:ln>
              <a:effectLst/>
            </c:spPr>
            <c:txPr>
              <a:bodyPr wrap="square" lIns="38100" tIns="19050" rIns="38100" bIns="19050" anchor="ctr">
                <a:spAutoFit/>
              </a:bodyPr>
              <a:lstStyle/>
              <a:p>
                <a:pPr>
                  <a:defRPr sz="1100" b="1">
                    <a:solidFill>
                      <a:schemeClr val="bg1"/>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'Berechnung Prozentualer_Anteil'!$M$10:$M$20</c:f>
              <c:numCache>
                <c:formatCode>"CHF"\ #,##0.00</c:formatCode>
                <c:ptCount val="11"/>
                <c:pt idx="0">
                  <c:v>0.45</c:v>
                </c:pt>
                <c:pt idx="1">
                  <c:v>0.54</c:v>
                </c:pt>
                <c:pt idx="2">
                  <c:v>0.63</c:v>
                </c:pt>
                <c:pt idx="3">
                  <c:v>0.72</c:v>
                </c:pt>
                <c:pt idx="4">
                  <c:v>0.81</c:v>
                </c:pt>
                <c:pt idx="5">
                  <c:v>0.9</c:v>
                </c:pt>
                <c:pt idx="6">
                  <c:v>0.99</c:v>
                </c:pt>
                <c:pt idx="7">
                  <c:v>1.08</c:v>
                </c:pt>
                <c:pt idx="8">
                  <c:v>1.17</c:v>
                </c:pt>
                <c:pt idx="9">
                  <c:v>1.26</c:v>
                </c:pt>
                <c:pt idx="10">
                  <c:v>1.35</c:v>
                </c:pt>
              </c:numCache>
            </c:numRef>
          </c:xVal>
          <c:yVal>
            <c:numRef>
              <c:f>'Berechnung Prozentualer_Anteil'!$J$10:$J$20</c:f>
              <c:numCache>
                <c:formatCode>0.00%</c:formatCode>
                <c:ptCount val="11"/>
                <c:pt idx="0">
                  <c:v>0.40486111111111117</c:v>
                </c:pt>
                <c:pt idx="1">
                  <c:v>0.33738425925925924</c:v>
                </c:pt>
                <c:pt idx="2">
                  <c:v>0.28918650793650796</c:v>
                </c:pt>
                <c:pt idx="3">
                  <c:v>0.25303819444444453</c:v>
                </c:pt>
                <c:pt idx="4">
                  <c:v>0.22492283950617284</c:v>
                </c:pt>
                <c:pt idx="5">
                  <c:v>0.20243055555555559</c:v>
                </c:pt>
                <c:pt idx="6">
                  <c:v>0.18402777777777779</c:v>
                </c:pt>
                <c:pt idx="7">
                  <c:v>0.16869212962962962</c:v>
                </c:pt>
                <c:pt idx="8">
                  <c:v>0.155715811965812</c:v>
                </c:pt>
                <c:pt idx="9">
                  <c:v>0.14459325396825398</c:v>
                </c:pt>
                <c:pt idx="10">
                  <c:v>0.13495370370370371</c:v>
                </c:pt>
              </c:numCache>
            </c:numRef>
          </c:yVal>
          <c:smooth val="0"/>
          <c:extLst>
            <c:ext xmlns:c16="http://schemas.microsoft.com/office/drawing/2014/chart" uri="{C3380CC4-5D6E-409C-BE32-E72D297353CC}">
              <c16:uniqueId val="{00000001-B6B9-4719-9D50-6478C4886778}"/>
            </c:ext>
          </c:extLst>
        </c:ser>
        <c:dLbls>
          <c:showLegendKey val="0"/>
          <c:showVal val="0"/>
          <c:showCatName val="0"/>
          <c:showSerName val="0"/>
          <c:showPercent val="0"/>
          <c:showBubbleSize val="0"/>
        </c:dLbls>
        <c:axId val="284059000"/>
        <c:axId val="1"/>
      </c:scatterChart>
      <c:valAx>
        <c:axId val="28405900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r>
                  <a:rPr lang="de-CH" sz="1200" b="1">
                    <a:solidFill>
                      <a:schemeClr val="bg1"/>
                    </a:solidFill>
                  </a:rPr>
                  <a:t>Produktepreis CHF</a:t>
                </a:r>
                <a:r>
                  <a:rPr lang="de-CH" sz="1200" b="1" baseline="0">
                    <a:solidFill>
                      <a:schemeClr val="bg1"/>
                    </a:solidFill>
                  </a:rPr>
                  <a:t> pro </a:t>
                </a:r>
                <a:r>
                  <a:rPr lang="de-CH" sz="1200" b="1">
                    <a:solidFill>
                      <a:schemeClr val="bg1"/>
                    </a:solidFill>
                  </a:rPr>
                  <a:t>kg/Stk.</a:t>
                </a:r>
              </a:p>
            </c:rich>
          </c:tx>
          <c:layout>
            <c:manualLayout>
              <c:xMode val="edge"/>
              <c:yMode val="edge"/>
              <c:x val="0.38459129425346739"/>
              <c:y val="0.91785107121913434"/>
            </c:manualLayout>
          </c:layout>
          <c:overlay val="0"/>
          <c:spPr>
            <a:noFill/>
            <a:ln w="25400">
              <a:noFill/>
            </a:ln>
          </c:spPr>
        </c:title>
        <c:numFmt formatCode="&quot;CHF&quot;\ #,##0.0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de-DE"/>
          </a:p>
        </c:txPr>
        <c:crossAx val="1"/>
        <c:crosses val="autoZero"/>
        <c:crossBetween val="midCat"/>
      </c:valAx>
      <c:valAx>
        <c:axId val="1"/>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1" i="0" u="none" strike="noStrike" kern="1200" baseline="0">
                    <a:solidFill>
                      <a:schemeClr val="bg1"/>
                    </a:solidFill>
                    <a:latin typeface="+mn-lt"/>
                    <a:ea typeface="+mn-ea"/>
                    <a:cs typeface="+mn-cs"/>
                  </a:defRPr>
                </a:pPr>
                <a:r>
                  <a:rPr lang="de-CH" sz="1200" b="1">
                    <a:solidFill>
                      <a:schemeClr val="bg1"/>
                    </a:solidFill>
                  </a:rPr>
                  <a:t>Anteil Gebindekosten am Produktewert </a:t>
                </a:r>
              </a:p>
            </c:rich>
          </c:tx>
          <c:layout>
            <c:manualLayout>
              <c:xMode val="edge"/>
              <c:yMode val="edge"/>
              <c:x val="4.1468930307762171E-2"/>
              <c:y val="0.17014911097067315"/>
            </c:manualLayout>
          </c:layout>
          <c:overlay val="0"/>
          <c:spPr>
            <a:noFill/>
            <a:ln w="25400">
              <a:noFill/>
            </a:ln>
          </c:spPr>
        </c:title>
        <c:numFmt formatCode="0.0%" sourceLinked="0"/>
        <c:majorTickMark val="none"/>
        <c:minorTickMark val="none"/>
        <c:tickLblPos val="nextTo"/>
        <c:spPr>
          <a:ln w="9525">
            <a:noFill/>
          </a:ln>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de-DE"/>
          </a:p>
        </c:txPr>
        <c:crossAx val="284059000"/>
        <c:crosses val="autoZero"/>
        <c:crossBetween val="midCat"/>
      </c:valAx>
      <c:spPr>
        <a:solidFill>
          <a:srgbClr val="92D050"/>
        </a:solidFill>
        <a:ln w="25400">
          <a:noFill/>
        </a:ln>
      </c:spPr>
    </c:plotArea>
    <c:plotVisOnly val="1"/>
    <c:dispBlanksAs val="gap"/>
    <c:showDLblsOverMax val="0"/>
  </c:chart>
  <c:spPr>
    <a:solidFill>
      <a:srgbClr val="92D050"/>
    </a:solidFill>
    <a:ln w="38100"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314325</xdr:colOff>
      <xdr:row>19</xdr:row>
      <xdr:rowOff>28574</xdr:rowOff>
    </xdr:from>
    <xdr:to>
      <xdr:col>4</xdr:col>
      <xdr:colOff>333375</xdr:colOff>
      <xdr:row>39</xdr:row>
      <xdr:rowOff>190499</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topLeftCell="A13" workbookViewId="0">
      <selection activeCell="H16" sqref="H16"/>
    </sheetView>
  </sheetViews>
  <sheetFormatPr baseColWidth="10" defaultRowHeight="15" outlineLevelCol="1" x14ac:dyDescent="0.25"/>
  <cols>
    <col min="2" max="2" width="46" customWidth="1"/>
    <col min="3" max="3" width="40.7109375" style="1" customWidth="1"/>
    <col min="4" max="4" width="16.5703125" customWidth="1"/>
    <col min="9" max="9" width="11.42578125" style="51"/>
    <col min="10" max="10" width="26.5703125" style="51" customWidth="1"/>
    <col min="11" max="11" width="23.7109375" style="51" customWidth="1"/>
    <col min="12" max="12" width="26.42578125" style="51" customWidth="1"/>
    <col min="13" max="13" width="66.7109375" style="51" customWidth="1"/>
    <col min="14" max="14" width="24.5703125" hidden="1" customWidth="1" outlineLevel="1"/>
    <col min="15" max="15" width="14.7109375" hidden="1" customWidth="1" outlineLevel="1"/>
    <col min="16" max="16" width="15" hidden="1" customWidth="1" outlineLevel="1"/>
    <col min="17" max="17" width="11.42578125" hidden="1" customWidth="1" outlineLevel="1"/>
    <col min="18" max="18" width="14.85546875" hidden="1" customWidth="1" outlineLevel="1"/>
    <col min="19" max="19" width="14.7109375" hidden="1" customWidth="1" outlineLevel="1"/>
    <col min="20" max="20" width="11.42578125" collapsed="1"/>
    <col min="21" max="21" width="15.28515625" bestFit="1" customWidth="1"/>
  </cols>
  <sheetData>
    <row r="1" spans="1:19" ht="15.75" thickBot="1" x14ac:dyDescent="0.3"/>
    <row r="2" spans="1:19" x14ac:dyDescent="0.25">
      <c r="B2" s="65" t="s">
        <v>0</v>
      </c>
      <c r="C2" s="66"/>
      <c r="D2" s="66"/>
      <c r="E2" s="26"/>
    </row>
    <row r="3" spans="1:19" x14ac:dyDescent="0.25">
      <c r="A3" s="2"/>
      <c r="B3" s="67"/>
      <c r="C3" s="68"/>
      <c r="D3" s="68"/>
      <c r="E3" s="27"/>
      <c r="J3" s="52" t="s">
        <v>1</v>
      </c>
      <c r="K3" s="52"/>
      <c r="L3" s="52"/>
      <c r="M3" s="52"/>
      <c r="N3" s="3" t="s">
        <v>2</v>
      </c>
      <c r="O3" s="3" t="s">
        <v>3</v>
      </c>
      <c r="P3" s="3" t="s">
        <v>4</v>
      </c>
      <c r="Q3" s="4"/>
      <c r="R3" s="4" t="s">
        <v>5</v>
      </c>
      <c r="S3" s="4" t="s">
        <v>3</v>
      </c>
    </row>
    <row r="4" spans="1:19" ht="15.75" thickBot="1" x14ac:dyDescent="0.3">
      <c r="A4" s="2"/>
      <c r="B4" s="28"/>
      <c r="C4" s="29"/>
      <c r="D4" s="30"/>
      <c r="E4" s="27"/>
      <c r="J4" s="51" t="str">
        <f>"Gebindekosten"&amp;" "&amp;C5&amp;" bei"&amp;" "&amp;C7&amp;" kg /Stk. pro "&amp;"Gebinde"</f>
        <v>Gebindekosten Kopfsalat grün bei 6 kg /Stk. pro Gebinde</v>
      </c>
      <c r="N4" s="4" t="s">
        <v>6</v>
      </c>
      <c r="O4" s="5">
        <v>0.9</v>
      </c>
      <c r="P4" s="4">
        <v>20</v>
      </c>
      <c r="Q4" s="4"/>
      <c r="R4" s="4" t="s">
        <v>7</v>
      </c>
      <c r="S4" s="4">
        <v>1.59</v>
      </c>
    </row>
    <row r="5" spans="1:19" ht="18" customHeight="1" x14ac:dyDescent="0.25">
      <c r="A5" s="2"/>
      <c r="B5" s="61" t="s">
        <v>8</v>
      </c>
      <c r="C5" s="62" t="s">
        <v>54</v>
      </c>
      <c r="D5" s="32"/>
      <c r="E5" s="27"/>
      <c r="N5" s="4" t="s">
        <v>9</v>
      </c>
      <c r="O5" s="5">
        <v>0.39</v>
      </c>
      <c r="P5" s="4">
        <v>48</v>
      </c>
      <c r="Q5" s="4"/>
      <c r="R5" s="4"/>
      <c r="S5" s="4"/>
    </row>
    <row r="6" spans="1:19" ht="18" x14ac:dyDescent="0.25">
      <c r="A6" s="2"/>
      <c r="B6" s="61" t="s">
        <v>10</v>
      </c>
      <c r="C6" s="63">
        <v>0.9</v>
      </c>
      <c r="D6" s="32"/>
      <c r="E6" s="27"/>
      <c r="N6" s="4" t="s">
        <v>11</v>
      </c>
      <c r="O6" s="5">
        <v>0.28999999999999998</v>
      </c>
      <c r="P6" s="4">
        <v>72</v>
      </c>
      <c r="Q6" s="4"/>
      <c r="R6" s="4"/>
      <c r="S6" s="4"/>
    </row>
    <row r="7" spans="1:19" ht="18.75" thickBot="1" x14ac:dyDescent="0.3">
      <c r="A7" s="2"/>
      <c r="B7" s="61" t="s">
        <v>12</v>
      </c>
      <c r="C7" s="64">
        <v>6</v>
      </c>
      <c r="D7" s="32"/>
      <c r="E7" s="27"/>
      <c r="J7" s="52" t="s">
        <v>13</v>
      </c>
      <c r="K7" s="52"/>
      <c r="L7" s="52"/>
      <c r="N7" s="4" t="s">
        <v>14</v>
      </c>
      <c r="O7" s="5">
        <v>0.26</v>
      </c>
      <c r="P7" s="4">
        <v>96</v>
      </c>
      <c r="Q7" s="4"/>
      <c r="R7" s="4"/>
      <c r="S7" s="4"/>
    </row>
    <row r="8" spans="1:19" ht="18" x14ac:dyDescent="0.25">
      <c r="A8" s="2"/>
      <c r="B8" s="33"/>
      <c r="C8" s="34"/>
      <c r="D8" s="35" t="s">
        <v>15</v>
      </c>
      <c r="E8" s="27"/>
      <c r="N8" s="4" t="s">
        <v>16</v>
      </c>
      <c r="O8" s="5">
        <v>1.06</v>
      </c>
      <c r="P8" s="4">
        <v>80</v>
      </c>
      <c r="Q8" s="4"/>
      <c r="R8" s="4"/>
      <c r="S8" s="4"/>
    </row>
    <row r="9" spans="1:19" ht="20.25" customHeight="1" x14ac:dyDescent="0.25">
      <c r="A9" s="2"/>
      <c r="B9" s="31" t="s">
        <v>17</v>
      </c>
      <c r="C9" s="7" t="s">
        <v>18</v>
      </c>
      <c r="D9" s="8"/>
      <c r="E9" s="27"/>
      <c r="J9" s="51" t="s">
        <v>19</v>
      </c>
      <c r="K9" s="51" t="s">
        <v>20</v>
      </c>
      <c r="L9" s="53" t="s">
        <v>21</v>
      </c>
      <c r="M9" s="51" t="s">
        <v>22</v>
      </c>
      <c r="N9" s="4" t="s">
        <v>23</v>
      </c>
      <c r="O9" s="5">
        <v>1.06</v>
      </c>
      <c r="P9" s="4">
        <v>72</v>
      </c>
      <c r="Q9" s="4"/>
      <c r="R9" s="4"/>
      <c r="S9" s="4"/>
    </row>
    <row r="10" spans="1:19" ht="18" x14ac:dyDescent="0.25">
      <c r="A10" s="2"/>
      <c r="B10" s="31" t="s">
        <v>24</v>
      </c>
      <c r="C10" s="9">
        <f>VLOOKUP(C9,N4:O33,2,FALSE)</f>
        <v>1.06</v>
      </c>
      <c r="D10" s="10"/>
      <c r="E10" s="27"/>
      <c r="J10" s="54">
        <f t="shared" ref="J10:J19" si="0">1/K10*L10</f>
        <v>0.40486111111111117</v>
      </c>
      <c r="K10" s="55">
        <f t="shared" ref="K10:K20" si="1">IF($D$9="",IF($C$11=0,M10*$C$7,$C$11*$C$7*M10),IF($D$11=0,M10*$C$7,$D$11*$C$7*M10))</f>
        <v>129.6</v>
      </c>
      <c r="L10" s="56">
        <f t="shared" ref="L10:L20" si="2">IF($D$9="",$C$13,$D$13)</f>
        <v>52.470000000000006</v>
      </c>
      <c r="M10" s="55">
        <f>$M$15-($M$15*0.5)</f>
        <v>0.45</v>
      </c>
      <c r="N10" s="4" t="s">
        <v>25</v>
      </c>
      <c r="O10" s="5">
        <v>1.06</v>
      </c>
      <c r="P10" s="4">
        <v>52</v>
      </c>
      <c r="Q10" s="4"/>
      <c r="R10" s="4"/>
      <c r="S10" s="4"/>
    </row>
    <row r="11" spans="1:19" ht="18" x14ac:dyDescent="0.25">
      <c r="A11" s="2"/>
      <c r="B11" s="31" t="s">
        <v>26</v>
      </c>
      <c r="C11" s="11">
        <f>VLOOKUP(C9,N4:P33,3,FALSE)</f>
        <v>48</v>
      </c>
      <c r="D11" s="12"/>
      <c r="E11" s="27"/>
      <c r="J11" s="54">
        <f t="shared" si="0"/>
        <v>0.33738425925925924</v>
      </c>
      <c r="K11" s="55">
        <f t="shared" si="1"/>
        <v>155.52000000000001</v>
      </c>
      <c r="L11" s="56">
        <f t="shared" si="2"/>
        <v>52.470000000000006</v>
      </c>
      <c r="M11" s="55">
        <f>$M$15-($M$15*0.4)</f>
        <v>0.54</v>
      </c>
      <c r="N11" s="4" t="s">
        <v>18</v>
      </c>
      <c r="O11" s="5">
        <v>1.06</v>
      </c>
      <c r="P11" s="4">
        <v>48</v>
      </c>
      <c r="Q11" s="4"/>
      <c r="R11" s="4"/>
      <c r="S11" s="4"/>
    </row>
    <row r="12" spans="1:19" ht="18" x14ac:dyDescent="0.25">
      <c r="A12" s="2"/>
      <c r="B12" s="31" t="s">
        <v>27</v>
      </c>
      <c r="C12" s="9">
        <f>IF(C11=0,0,S4)</f>
        <v>1.59</v>
      </c>
      <c r="D12" s="6"/>
      <c r="E12" s="27"/>
      <c r="J12" s="54">
        <f t="shared" si="0"/>
        <v>0.28918650793650796</v>
      </c>
      <c r="K12" s="55">
        <f t="shared" si="1"/>
        <v>181.44</v>
      </c>
      <c r="L12" s="56">
        <f t="shared" si="2"/>
        <v>52.470000000000006</v>
      </c>
      <c r="M12" s="55">
        <f>$M$15-($M$15*0.3)</f>
        <v>0.63</v>
      </c>
      <c r="N12" s="4" t="s">
        <v>28</v>
      </c>
      <c r="O12" s="5">
        <v>1.06</v>
      </c>
      <c r="P12" s="4">
        <v>40</v>
      </c>
      <c r="Q12" s="4"/>
      <c r="R12" s="4"/>
      <c r="S12" s="4"/>
    </row>
    <row r="13" spans="1:19" ht="18" x14ac:dyDescent="0.25">
      <c r="A13" s="2"/>
      <c r="B13" s="33" t="s">
        <v>21</v>
      </c>
      <c r="C13" s="13">
        <f>IF(C11=0,C10,(C12+C10*C11))</f>
        <v>52.470000000000006</v>
      </c>
      <c r="D13" s="13">
        <f>IF(D11=0,D10,(D12+D10*D11))</f>
        <v>0</v>
      </c>
      <c r="E13" s="27"/>
      <c r="J13" s="54">
        <f t="shared" si="0"/>
        <v>0.25303819444444453</v>
      </c>
      <c r="K13" s="55">
        <f t="shared" si="1"/>
        <v>207.35999999999999</v>
      </c>
      <c r="L13" s="56">
        <f t="shared" si="2"/>
        <v>52.470000000000006</v>
      </c>
      <c r="M13" s="55">
        <f>$M$15-($M$15*0.2)</f>
        <v>0.72</v>
      </c>
      <c r="N13" s="4" t="s">
        <v>29</v>
      </c>
      <c r="O13" s="5">
        <v>1.06</v>
      </c>
      <c r="P13" s="4">
        <v>36</v>
      </c>
      <c r="Q13" s="4"/>
      <c r="R13" s="4"/>
      <c r="S13" s="4"/>
    </row>
    <row r="14" spans="1:19" ht="18" x14ac:dyDescent="0.25">
      <c r="A14" s="2"/>
      <c r="B14" s="33" t="s">
        <v>30</v>
      </c>
      <c r="C14" s="13">
        <f>IF(C11=0,C6*C7,C11*C7*C6)</f>
        <v>259.2</v>
      </c>
      <c r="D14" s="13">
        <f>IF(D11=0,C6*C7,D11*C7*C6)</f>
        <v>5.4</v>
      </c>
      <c r="E14" s="27"/>
      <c r="J14" s="54">
        <f t="shared" si="0"/>
        <v>0.22492283950617284</v>
      </c>
      <c r="K14" s="55">
        <f t="shared" si="1"/>
        <v>233.28000000000003</v>
      </c>
      <c r="L14" s="56">
        <f t="shared" si="2"/>
        <v>52.470000000000006</v>
      </c>
      <c r="M14" s="55">
        <f>$M$15-($M$15*0.1)</f>
        <v>0.81</v>
      </c>
      <c r="N14" s="4" t="s">
        <v>31</v>
      </c>
      <c r="O14" s="5">
        <v>0.85</v>
      </c>
      <c r="P14" s="4">
        <v>144</v>
      </c>
      <c r="Q14" s="4"/>
      <c r="R14" s="4"/>
      <c r="S14" s="4"/>
    </row>
    <row r="15" spans="1:19" ht="18" x14ac:dyDescent="0.25">
      <c r="A15" s="2"/>
      <c r="B15" s="33" t="s">
        <v>32</v>
      </c>
      <c r="C15" s="14">
        <f>1/C14*C13</f>
        <v>0.20243055555555559</v>
      </c>
      <c r="D15" s="14">
        <f>1/D14*D13</f>
        <v>0</v>
      </c>
      <c r="E15" s="27"/>
      <c r="J15" s="54">
        <f t="shared" si="0"/>
        <v>0.20243055555555559</v>
      </c>
      <c r="K15" s="55">
        <f t="shared" si="1"/>
        <v>259.2</v>
      </c>
      <c r="L15" s="56">
        <f t="shared" si="2"/>
        <v>52.470000000000006</v>
      </c>
      <c r="M15" s="55">
        <f>C6</f>
        <v>0.9</v>
      </c>
      <c r="N15" s="4" t="s">
        <v>33</v>
      </c>
      <c r="O15" s="5">
        <v>0.85</v>
      </c>
      <c r="P15" s="4">
        <v>96</v>
      </c>
      <c r="Q15" s="4"/>
      <c r="R15" s="4"/>
      <c r="S15" s="4"/>
    </row>
    <row r="16" spans="1:19" ht="15.75" customHeight="1" x14ac:dyDescent="0.25">
      <c r="A16" s="2"/>
      <c r="B16" s="33" t="s">
        <v>53</v>
      </c>
      <c r="C16" s="13">
        <f>1*C15</f>
        <v>0.20243055555555559</v>
      </c>
      <c r="D16" s="13">
        <f>1*D15</f>
        <v>0</v>
      </c>
      <c r="E16" s="27"/>
      <c r="J16" s="54">
        <f>1/K16*L16</f>
        <v>0.18402777777777779</v>
      </c>
      <c r="K16" s="55">
        <f t="shared" si="1"/>
        <v>285.12</v>
      </c>
      <c r="L16" s="56">
        <f t="shared" si="2"/>
        <v>52.470000000000006</v>
      </c>
      <c r="M16" s="55">
        <f>$M$15+($M$15*0.1)</f>
        <v>0.99</v>
      </c>
      <c r="N16" s="4" t="s">
        <v>35</v>
      </c>
      <c r="O16" s="5">
        <v>0.85</v>
      </c>
      <c r="P16" s="4">
        <v>72</v>
      </c>
      <c r="Q16" s="4"/>
      <c r="R16" s="4"/>
      <c r="S16" s="4"/>
    </row>
    <row r="17" spans="1:19" ht="18" x14ac:dyDescent="0.25">
      <c r="A17" s="2"/>
      <c r="B17" s="36" t="s">
        <v>34</v>
      </c>
      <c r="C17" s="15">
        <f>IF(C11=0,C13/C7,C13/C11/C7)</f>
        <v>0.18218750000000003</v>
      </c>
      <c r="D17" s="15">
        <f>IF(D11=0,D13/C7,D13/D11/C7)</f>
        <v>0</v>
      </c>
      <c r="E17" s="27"/>
      <c r="J17" s="54">
        <f t="shared" si="0"/>
        <v>0.16869212962962962</v>
      </c>
      <c r="K17" s="55">
        <f t="shared" si="1"/>
        <v>311.04000000000002</v>
      </c>
      <c r="L17" s="56">
        <f t="shared" si="2"/>
        <v>52.470000000000006</v>
      </c>
      <c r="M17" s="55">
        <f>$M$15+($M$15*0.2)</f>
        <v>1.08</v>
      </c>
      <c r="N17" s="4" t="s">
        <v>36</v>
      </c>
      <c r="O17" s="5">
        <v>1.06</v>
      </c>
      <c r="P17" s="4">
        <v>80</v>
      </c>
      <c r="Q17" s="4"/>
      <c r="R17" s="4"/>
      <c r="S17" s="4"/>
    </row>
    <row r="18" spans="1:19" ht="18" x14ac:dyDescent="0.25">
      <c r="A18" s="2"/>
      <c r="B18" s="37"/>
      <c r="C18" s="16"/>
      <c r="D18" s="17"/>
      <c r="E18" s="27"/>
      <c r="J18" s="54">
        <f t="shared" si="0"/>
        <v>0.155715811965812</v>
      </c>
      <c r="K18" s="55">
        <f t="shared" si="1"/>
        <v>336.96</v>
      </c>
      <c r="L18" s="56">
        <f t="shared" si="2"/>
        <v>52.470000000000006</v>
      </c>
      <c r="M18" s="55">
        <f>$M$15+($M$15*0.3)</f>
        <v>1.17</v>
      </c>
      <c r="N18" s="4" t="s">
        <v>37</v>
      </c>
      <c r="O18" s="5">
        <v>1.06</v>
      </c>
      <c r="P18" s="4">
        <v>72</v>
      </c>
      <c r="Q18" s="4"/>
      <c r="R18" s="4"/>
      <c r="S18" s="4"/>
    </row>
    <row r="19" spans="1:19" ht="18" x14ac:dyDescent="0.25">
      <c r="B19" s="38"/>
      <c r="C19" s="18"/>
      <c r="D19" s="19"/>
      <c r="E19" s="39"/>
      <c r="J19" s="54">
        <f t="shared" si="0"/>
        <v>0.14459325396825398</v>
      </c>
      <c r="K19" s="55">
        <f t="shared" si="1"/>
        <v>362.88</v>
      </c>
      <c r="L19" s="56">
        <f t="shared" si="2"/>
        <v>52.470000000000006</v>
      </c>
      <c r="M19" s="55">
        <f>$M$15+($M$15*0.4)</f>
        <v>1.26</v>
      </c>
      <c r="N19" s="4" t="s">
        <v>38</v>
      </c>
      <c r="O19" s="5">
        <v>1.06</v>
      </c>
      <c r="P19" s="4">
        <v>52</v>
      </c>
      <c r="Q19" s="4"/>
      <c r="R19" s="4"/>
      <c r="S19" s="4"/>
    </row>
    <row r="20" spans="1:19" ht="18" x14ac:dyDescent="0.25">
      <c r="B20" s="40"/>
      <c r="C20" s="20"/>
      <c r="D20" s="19"/>
      <c r="E20" s="39"/>
      <c r="J20" s="54">
        <f>1/K20*L20</f>
        <v>0.13495370370370371</v>
      </c>
      <c r="K20" s="55">
        <f t="shared" si="1"/>
        <v>388.8</v>
      </c>
      <c r="L20" s="56">
        <f t="shared" si="2"/>
        <v>52.470000000000006</v>
      </c>
      <c r="M20" s="55">
        <f>$M$15+($M$15*0.5)</f>
        <v>1.35</v>
      </c>
      <c r="N20" s="4" t="s">
        <v>39</v>
      </c>
      <c r="O20" s="5">
        <v>1.06</v>
      </c>
      <c r="P20" s="4">
        <v>48</v>
      </c>
      <c r="Q20" s="4"/>
      <c r="R20" s="4"/>
      <c r="S20" s="4"/>
    </row>
    <row r="21" spans="1:19" ht="18" x14ac:dyDescent="0.25">
      <c r="B21" s="38"/>
      <c r="C21" s="21"/>
      <c r="D21" s="19"/>
      <c r="E21" s="39"/>
      <c r="J21" s="59"/>
      <c r="M21" s="57"/>
      <c r="N21" s="4" t="s">
        <v>40</v>
      </c>
      <c r="O21" s="5">
        <v>1.06</v>
      </c>
      <c r="P21" s="4">
        <v>40</v>
      </c>
      <c r="Q21" s="4"/>
      <c r="R21" s="4"/>
      <c r="S21" s="4"/>
    </row>
    <row r="22" spans="1:19" ht="18" x14ac:dyDescent="0.3">
      <c r="B22" s="38"/>
      <c r="C22" s="22"/>
      <c r="D22" s="19"/>
      <c r="E22" s="39"/>
      <c r="J22" s="60"/>
      <c r="K22" s="58"/>
      <c r="N22" s="4" t="s">
        <v>41</v>
      </c>
      <c r="O22" s="5">
        <v>1.06</v>
      </c>
      <c r="P22" s="4">
        <v>36</v>
      </c>
      <c r="Q22" s="4"/>
      <c r="R22" s="4"/>
      <c r="S22" s="4"/>
    </row>
    <row r="23" spans="1:19" ht="18" x14ac:dyDescent="0.25">
      <c r="B23" s="38"/>
      <c r="C23" s="22"/>
      <c r="D23" s="19"/>
      <c r="E23" s="39"/>
      <c r="J23" s="59"/>
      <c r="N23" s="4" t="s">
        <v>42</v>
      </c>
      <c r="O23" s="5">
        <v>0.85</v>
      </c>
      <c r="P23" s="4">
        <v>144</v>
      </c>
      <c r="Q23" s="4"/>
      <c r="R23" s="4"/>
      <c r="S23" s="4"/>
    </row>
    <row r="24" spans="1:19" ht="18" x14ac:dyDescent="0.25">
      <c r="B24" s="38"/>
      <c r="C24" s="22"/>
      <c r="D24" s="19"/>
      <c r="E24" s="39"/>
      <c r="J24" s="59"/>
      <c r="N24" s="4" t="s">
        <v>43</v>
      </c>
      <c r="O24" s="5">
        <v>0.85</v>
      </c>
      <c r="P24" s="4">
        <v>96</v>
      </c>
      <c r="Q24" s="4"/>
      <c r="R24" s="4"/>
      <c r="S24" s="4"/>
    </row>
    <row r="25" spans="1:19" ht="18" x14ac:dyDescent="0.25">
      <c r="B25" s="38"/>
      <c r="C25" s="22"/>
      <c r="D25" s="19"/>
      <c r="E25" s="39"/>
      <c r="J25" s="59"/>
      <c r="N25" s="4" t="s">
        <v>44</v>
      </c>
      <c r="O25" s="5">
        <v>0.85</v>
      </c>
      <c r="P25" s="4">
        <v>72</v>
      </c>
      <c r="Q25" s="4"/>
      <c r="R25" s="4"/>
      <c r="S25" s="4"/>
    </row>
    <row r="26" spans="1:19" ht="18" x14ac:dyDescent="0.25">
      <c r="B26" s="41"/>
      <c r="C26" s="20"/>
      <c r="D26" s="19"/>
      <c r="E26" s="39"/>
      <c r="J26" s="59"/>
      <c r="N26" s="4" t="s">
        <v>45</v>
      </c>
      <c r="O26" s="5">
        <v>0.36</v>
      </c>
      <c r="P26" s="4">
        <v>128</v>
      </c>
      <c r="Q26" s="4"/>
      <c r="R26" s="4"/>
      <c r="S26" s="4"/>
    </row>
    <row r="27" spans="1:19" ht="18" x14ac:dyDescent="0.25">
      <c r="B27" s="38"/>
      <c r="C27" s="22"/>
      <c r="D27" s="19"/>
      <c r="E27" s="39"/>
      <c r="J27" s="59"/>
      <c r="N27" s="4" t="s">
        <v>46</v>
      </c>
      <c r="O27" s="5">
        <v>0.56999999999999995</v>
      </c>
      <c r="P27" s="4">
        <v>64</v>
      </c>
      <c r="Q27" s="4"/>
      <c r="R27" s="4"/>
      <c r="S27" s="4"/>
    </row>
    <row r="28" spans="1:19" ht="18" x14ac:dyDescent="0.25">
      <c r="B28" s="40"/>
      <c r="C28" s="20"/>
      <c r="D28" s="19"/>
      <c r="E28" s="39"/>
      <c r="N28" s="4" t="s">
        <v>47</v>
      </c>
      <c r="O28" s="5">
        <v>0.77</v>
      </c>
      <c r="P28" s="4">
        <v>32</v>
      </c>
      <c r="Q28" s="4"/>
      <c r="R28" s="4"/>
      <c r="S28" s="4"/>
    </row>
    <row r="29" spans="1:19" ht="18" x14ac:dyDescent="0.25">
      <c r="B29" s="40"/>
      <c r="C29" s="20"/>
      <c r="D29" s="19"/>
      <c r="E29" s="39"/>
      <c r="N29" s="4" t="s">
        <v>48</v>
      </c>
      <c r="O29" s="5">
        <v>0.69</v>
      </c>
      <c r="P29" s="4">
        <v>44</v>
      </c>
      <c r="Q29" s="4"/>
      <c r="R29" s="4"/>
      <c r="S29" s="4"/>
    </row>
    <row r="30" spans="1:19" ht="18" x14ac:dyDescent="0.25">
      <c r="B30" s="42"/>
      <c r="C30" s="23"/>
      <c r="D30" s="19"/>
      <c r="E30" s="39"/>
      <c r="N30" s="4" t="s">
        <v>49</v>
      </c>
      <c r="O30" s="5">
        <v>22.39</v>
      </c>
      <c r="P30" s="4">
        <v>0</v>
      </c>
      <c r="Q30" s="4"/>
      <c r="R30" s="4"/>
      <c r="S30" s="4"/>
    </row>
    <row r="31" spans="1:19" x14ac:dyDescent="0.25">
      <c r="B31" s="43"/>
      <c r="C31" s="24"/>
      <c r="D31" s="19"/>
      <c r="E31" s="39"/>
      <c r="N31" s="4" t="s">
        <v>50</v>
      </c>
      <c r="O31" s="5">
        <v>12.76</v>
      </c>
      <c r="P31" s="4">
        <v>0</v>
      </c>
      <c r="Q31" s="4"/>
      <c r="R31" s="4"/>
      <c r="S31" s="4"/>
    </row>
    <row r="32" spans="1:19" x14ac:dyDescent="0.25">
      <c r="B32" s="44"/>
      <c r="C32" s="45"/>
      <c r="D32" s="46"/>
      <c r="E32" s="39"/>
      <c r="N32" s="4" t="s">
        <v>51</v>
      </c>
      <c r="O32" s="5">
        <v>7.67</v>
      </c>
      <c r="P32" s="4">
        <v>0</v>
      </c>
      <c r="Q32" s="4"/>
      <c r="R32" s="4"/>
      <c r="S32" s="4"/>
    </row>
    <row r="33" spans="2:19" x14ac:dyDescent="0.25">
      <c r="B33" s="44"/>
      <c r="C33" s="45"/>
      <c r="D33" s="46"/>
      <c r="E33" s="39"/>
      <c r="N33" s="4" t="s">
        <v>52</v>
      </c>
      <c r="O33" s="5">
        <v>9.11</v>
      </c>
      <c r="P33" s="25">
        <v>0</v>
      </c>
      <c r="Q33" s="4"/>
      <c r="R33" s="4"/>
      <c r="S33" s="4"/>
    </row>
    <row r="34" spans="2:19" x14ac:dyDescent="0.25">
      <c r="B34" s="44"/>
      <c r="C34" s="45"/>
      <c r="D34" s="46"/>
      <c r="E34" s="39"/>
      <c r="Q34" s="4"/>
      <c r="R34" s="4"/>
      <c r="S34" s="4"/>
    </row>
    <row r="35" spans="2:19" x14ac:dyDescent="0.25">
      <c r="B35" s="44"/>
      <c r="C35" s="45"/>
      <c r="D35" s="46"/>
      <c r="E35" s="39"/>
    </row>
    <row r="36" spans="2:19" x14ac:dyDescent="0.25">
      <c r="B36" s="44"/>
      <c r="C36" s="45"/>
      <c r="D36" s="46"/>
      <c r="E36" s="39"/>
    </row>
    <row r="37" spans="2:19" x14ac:dyDescent="0.25">
      <c r="B37" s="44"/>
      <c r="C37" s="45"/>
      <c r="D37" s="46"/>
      <c r="E37" s="39"/>
    </row>
    <row r="38" spans="2:19" x14ac:dyDescent="0.25">
      <c r="B38" s="44"/>
      <c r="C38" s="45"/>
      <c r="D38" s="46"/>
      <c r="E38" s="39"/>
    </row>
    <row r="39" spans="2:19" x14ac:dyDescent="0.25">
      <c r="B39" s="44"/>
      <c r="C39" s="45"/>
      <c r="D39" s="46"/>
      <c r="E39" s="39"/>
    </row>
    <row r="40" spans="2:19" x14ac:dyDescent="0.25">
      <c r="B40" s="44"/>
      <c r="C40" s="45"/>
      <c r="D40" s="46"/>
      <c r="E40" s="39"/>
    </row>
    <row r="41" spans="2:19" ht="15.75" thickBot="1" x14ac:dyDescent="0.3">
      <c r="B41" s="47"/>
      <c r="C41" s="48"/>
      <c r="D41" s="49"/>
      <c r="E41" s="50"/>
    </row>
  </sheetData>
  <sheetProtection password="95A7" sheet="1" objects="1" scenarios="1"/>
  <mergeCells count="1">
    <mergeCell ref="B2:D3"/>
  </mergeCells>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$N$4:$N$33</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 Prozentualer_Anteil</vt:lpstr>
    </vt:vector>
  </TitlesOfParts>
  <Company>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Daniel</dc:creator>
  <cp:lastModifiedBy>Bachmann Daniel</cp:lastModifiedBy>
  <dcterms:created xsi:type="dcterms:W3CDTF">2019-08-13T09:07:15Z</dcterms:created>
  <dcterms:modified xsi:type="dcterms:W3CDTF">2019-11-06T07:56:09Z</dcterms:modified>
</cp:coreProperties>
</file>